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psagovbr-my.sharepoint.com/personal/rede_ppsa_gov_br/Documents/Colaboracao/03 DAF/4-ORÇAMENTO/1-SIEST/2025/Informações Andrea Transparencia/EXECUÇÃO ORÇAMENTÁRIA - TRIMESTRAL/"/>
    </mc:Choice>
  </mc:AlternateContent>
  <xr:revisionPtr revIDLastSave="27" documentId="8_{B9017F09-C7DC-47A0-ADDE-07AF3522ECF2}" xr6:coauthVersionLast="47" xr6:coauthVersionMax="47" xr10:uidLastSave="{11E99934-8653-4CEC-8F08-94F7788E6313}"/>
  <bookViews>
    <workbookView xWindow="28680" yWindow="-120" windowWidth="29040" windowHeight="15840" xr2:uid="{7F71ACF9-5DC0-466C-B7FB-D5ECEF341837}"/>
  </bookViews>
  <sheets>
    <sheet name="Execucação orçament-Trimest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1" i="1" l="1"/>
  <c r="AV10" i="1"/>
  <c r="AU10" i="1"/>
  <c r="AV5" i="1"/>
  <c r="AU5" i="1"/>
  <c r="AT16" i="1" l="1"/>
  <c r="AS16" i="1"/>
  <c r="AT15" i="1"/>
  <c r="AS15" i="1"/>
  <c r="AT14" i="1"/>
  <c r="AS14" i="1"/>
  <c r="AT12" i="1"/>
  <c r="AS12" i="1"/>
  <c r="AT11" i="1"/>
  <c r="AS11" i="1"/>
  <c r="AT10" i="1"/>
  <c r="AS10" i="1"/>
  <c r="AT9" i="1"/>
  <c r="AS9" i="1"/>
  <c r="AX4" i="1"/>
  <c r="AW4" i="1"/>
  <c r="AV4" i="1"/>
  <c r="AU4" i="1"/>
  <c r="AT5" i="1"/>
  <c r="AT4" i="1" s="1"/>
  <c r="AS5" i="1"/>
  <c r="AS4" i="1" s="1"/>
  <c r="AR10" i="1" l="1"/>
  <c r="AR5" i="1"/>
  <c r="AR4" i="1" s="1"/>
  <c r="AQ11" i="1"/>
  <c r="AQ10" i="1"/>
  <c r="AQ9" i="1"/>
  <c r="AQ6" i="1"/>
  <c r="AQ5" i="1"/>
  <c r="AQ4" i="1" s="1"/>
  <c r="AY14" i="1"/>
  <c r="AY11" i="1"/>
  <c r="AY10" i="1"/>
  <c r="AY6" i="1" l="1"/>
  <c r="AY5" i="1"/>
  <c r="AY4" i="1" s="1"/>
  <c r="AQ8" i="1" l="1"/>
  <c r="AX8" i="1"/>
  <c r="AW8" i="1"/>
  <c r="AV8" i="1"/>
  <c r="AU8" i="1"/>
  <c r="AZ8" i="1"/>
  <c r="AS8" i="1"/>
  <c r="AR8" i="1"/>
  <c r="AY8" i="1"/>
  <c r="AT8" i="1"/>
  <c r="AZ4" i="1"/>
  <c r="AP11" i="1" l="1"/>
  <c r="AP12" i="1"/>
  <c r="AP13" i="1"/>
  <c r="AP14" i="1"/>
  <c r="AP15" i="1"/>
  <c r="AP16" i="1"/>
  <c r="AP9" i="1"/>
  <c r="AP6" i="1"/>
  <c r="AP7" i="1"/>
  <c r="AN10" i="1"/>
  <c r="AP10" i="1" s="1"/>
  <c r="AN5" i="1"/>
  <c r="AP5" i="1" s="1"/>
  <c r="AM11" i="1"/>
  <c r="AM10" i="1"/>
  <c r="AM5" i="1"/>
  <c r="AL10" i="1" l="1"/>
  <c r="AL5" i="1"/>
  <c r="AK10" i="1"/>
  <c r="AK5" i="1"/>
  <c r="AJ5" i="1" l="1"/>
  <c r="AI5" i="1"/>
  <c r="AJ14" i="1"/>
  <c r="AJ16" i="1"/>
  <c r="AJ15" i="1"/>
  <c r="AJ12" i="1"/>
  <c r="AJ11" i="1"/>
  <c r="AJ10" i="1"/>
  <c r="AJ9" i="1"/>
  <c r="AI16" i="1"/>
  <c r="AI15" i="1"/>
  <c r="AI14" i="1"/>
  <c r="AI12" i="1"/>
  <c r="AI11" i="1"/>
  <c r="AI10" i="1"/>
  <c r="AI9" i="1"/>
  <c r="AH16" i="1" l="1"/>
  <c r="AG16" i="1"/>
  <c r="AH15" i="1"/>
  <c r="AG15" i="1"/>
  <c r="AH14" i="1"/>
  <c r="AG14" i="1"/>
  <c r="AH12" i="1"/>
  <c r="AG12" i="1"/>
  <c r="AH11" i="1"/>
  <c r="AG11" i="1"/>
  <c r="AH10" i="1"/>
  <c r="AG10" i="1"/>
  <c r="AH9" i="1"/>
  <c r="AG9" i="1"/>
  <c r="AH6" i="1"/>
  <c r="AG6" i="1"/>
  <c r="AH5" i="1"/>
  <c r="AG5" i="1"/>
  <c r="AO11" i="1" l="1"/>
  <c r="AO10" i="1"/>
  <c r="AO8" i="1" s="1"/>
  <c r="AO5" i="1"/>
  <c r="AO4" i="1" s="1"/>
  <c r="AG8" i="1"/>
  <c r="AH8" i="1"/>
  <c r="AG4" i="1"/>
  <c r="AH4" i="1"/>
  <c r="AP8" i="1"/>
  <c r="AN8" i="1"/>
  <c r="AM8" i="1"/>
  <c r="AL8" i="1"/>
  <c r="AK8" i="1"/>
  <c r="AJ8" i="1"/>
  <c r="AI8" i="1"/>
  <c r="AP4" i="1"/>
  <c r="AN4" i="1"/>
  <c r="AM4" i="1"/>
  <c r="AL4" i="1"/>
  <c r="AK4" i="1"/>
  <c r="AJ4" i="1"/>
  <c r="AI4" i="1"/>
  <c r="AF16" i="1" l="1"/>
  <c r="AE16" i="1"/>
  <c r="AF15" i="1"/>
  <c r="AE15" i="1"/>
  <c r="AF14" i="1"/>
  <c r="AE14" i="1"/>
  <c r="AF13" i="1"/>
  <c r="AE13" i="1"/>
  <c r="AF12" i="1"/>
  <c r="AE12" i="1"/>
  <c r="AF11" i="1"/>
  <c r="AE11" i="1"/>
  <c r="AD10" i="1"/>
  <c r="AF10" i="1" s="1"/>
  <c r="AC10" i="1"/>
  <c r="AE10" i="1" s="1"/>
  <c r="AE8" i="1" s="1"/>
  <c r="AF9" i="1"/>
  <c r="AF8" i="1" s="1"/>
  <c r="AE9" i="1"/>
  <c r="AB8" i="1"/>
  <c r="AA8" i="1"/>
  <c r="Z8" i="1"/>
  <c r="Y8" i="1"/>
  <c r="AF7" i="1"/>
  <c r="AE7" i="1"/>
  <c r="AF6" i="1"/>
  <c r="AF4" i="1" s="1"/>
  <c r="AE6" i="1"/>
  <c r="AF5" i="1"/>
  <c r="AE5" i="1"/>
  <c r="AD4" i="1"/>
  <c r="AC4" i="1"/>
  <c r="AB4" i="1"/>
  <c r="AA4" i="1"/>
  <c r="Z4" i="1"/>
  <c r="Y4" i="1"/>
  <c r="AE4" i="1" l="1"/>
  <c r="AC8" i="1"/>
  <c r="AD8" i="1"/>
</calcChain>
</file>

<file path=xl/sharedStrings.xml><?xml version="1.0" encoding="utf-8"?>
<sst xmlns="http://schemas.openxmlformats.org/spreadsheetml/2006/main" count="111" uniqueCount="33">
  <si>
    <t>2023 (1º Trim)</t>
  </si>
  <si>
    <t>2023 (2º Trim)</t>
  </si>
  <si>
    <t>2023 (3º Trim)</t>
  </si>
  <si>
    <t>2023 (4º Trim)</t>
  </si>
  <si>
    <t>Anual 2023</t>
  </si>
  <si>
    <t>R$ milhões</t>
  </si>
  <si>
    <t>PDG</t>
  </si>
  <si>
    <t>Real</t>
  </si>
  <si>
    <t>Fontes de Recursos</t>
  </si>
  <si>
    <t>Receita Operacional</t>
  </si>
  <si>
    <t>-</t>
  </si>
  <si>
    <t>Receita não Operacional</t>
  </si>
  <si>
    <t>Participação da União no Capital</t>
  </si>
  <si>
    <t>Uso de Recursos</t>
  </si>
  <si>
    <t>Dispêndio de Capital</t>
  </si>
  <si>
    <t>Pessoal e Encargos Sociais</t>
  </si>
  <si>
    <t>Serviços de Terceiros</t>
  </si>
  <si>
    <t>Materiais e Produtos</t>
  </si>
  <si>
    <t>Utilidades e Serviços</t>
  </si>
  <si>
    <t>Tributos e Encargos Parafiscais</t>
  </si>
  <si>
    <t>Despesas Financeiras</t>
  </si>
  <si>
    <t>Outros Dispêndios Correntes</t>
  </si>
  <si>
    <t>Fonte: Sistema SIEST</t>
  </si>
  <si>
    <t>2024 (1º Trim)</t>
  </si>
  <si>
    <t>2024 (2º Trim)</t>
  </si>
  <si>
    <t>2024 (3º Trim)</t>
  </si>
  <si>
    <t>2024 (4º Trim)</t>
  </si>
  <si>
    <t>Anual 2024</t>
  </si>
  <si>
    <t>2025 (1º Trim)</t>
  </si>
  <si>
    <t>2025 (2º Trim)</t>
  </si>
  <si>
    <t>2025 (3º Trim)</t>
  </si>
  <si>
    <t>2025 (4º Trim)</t>
  </si>
  <si>
    <t>Anual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</si>
</sst>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0" xfId="0" applyNumberFormat="1" applyFont="1"/>
    <xf numFmtId="2" fontId="1" fillId="0" borderId="5" xfId="0" applyNumberFormat="1" applyFont="1" applyBorder="1"/>
    <xf numFmtId="2" fontId="0" fillId="0" borderId="5" xfId="0" applyNumberFormat="1" applyBorder="1"/>
    <xf numFmtId="0" fontId="0" fillId="0" borderId="6" xfId="0" applyBorder="1"/>
    <xf numFmtId="0" fontId="0" fillId="0" borderId="7" xfId="0" applyBorder="1"/>
    <xf numFmtId="2" fontId="0" fillId="0" borderId="7" xfId="0" applyNumberFormat="1" applyBorder="1"/>
    <xf numFmtId="2" fontId="0" fillId="0" borderId="8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195E2-BB81-4735-92E7-45BDE66E2BB4}">
  <dimension ref="B1:AZ28"/>
  <sheetViews>
    <sheetView showGridLines="0" tabSelected="1" workbookViewId="0">
      <selection activeCell="AY23" sqref="AY23"/>
    </sheetView>
  </sheetViews>
  <sheetFormatPr defaultRowHeight="15" x14ac:dyDescent="0.25"/>
  <cols>
    <col min="1" max="1" width="3.140625" customWidth="1"/>
    <col min="2" max="2" width="28" bestFit="1" customWidth="1"/>
    <col min="3" max="24" width="8.7109375" hidden="1" customWidth="1"/>
    <col min="25" max="25" width="8.85546875" hidden="1" customWidth="1"/>
    <col min="26" max="30" width="8.7109375" hidden="1" customWidth="1"/>
    <col min="31" max="32" width="6.42578125" hidden="1" customWidth="1"/>
    <col min="33" max="38" width="0" hidden="1" customWidth="1"/>
    <col min="39" max="39" width="9.5703125" hidden="1" customWidth="1"/>
    <col min="40" max="42" width="0" hidden="1" customWidth="1"/>
  </cols>
  <sheetData>
    <row r="1" spans="2:52" ht="15.75" thickBot="1" x14ac:dyDescent="0.3"/>
    <row r="2" spans="2:52" x14ac:dyDescent="0.25">
      <c r="B2" s="4"/>
      <c r="C2" s="5">
        <v>2013</v>
      </c>
      <c r="D2" s="5"/>
      <c r="E2" s="5">
        <v>2014</v>
      </c>
      <c r="F2" s="5"/>
      <c r="G2" s="5">
        <v>2015</v>
      </c>
      <c r="H2" s="5"/>
      <c r="I2" s="5">
        <v>2016</v>
      </c>
      <c r="J2" s="5"/>
      <c r="K2" s="5">
        <v>2017</v>
      </c>
      <c r="L2" s="5"/>
      <c r="M2" s="5">
        <v>2018</v>
      </c>
      <c r="N2" s="5"/>
      <c r="O2" s="5">
        <v>2019</v>
      </c>
      <c r="P2" s="5"/>
      <c r="Q2" s="5">
        <v>2020</v>
      </c>
      <c r="R2" s="5"/>
      <c r="S2" s="5">
        <v>2021</v>
      </c>
      <c r="T2" s="5"/>
      <c r="U2" s="5">
        <v>2022</v>
      </c>
      <c r="V2" s="5"/>
      <c r="W2" s="16" t="s">
        <v>0</v>
      </c>
      <c r="X2" s="16"/>
      <c r="Y2" s="16" t="s">
        <v>1</v>
      </c>
      <c r="Z2" s="16"/>
      <c r="AA2" s="16" t="s">
        <v>2</v>
      </c>
      <c r="AB2" s="16"/>
      <c r="AC2" s="16" t="s">
        <v>3</v>
      </c>
      <c r="AD2" s="16"/>
      <c r="AE2" s="16" t="s">
        <v>4</v>
      </c>
      <c r="AF2" s="16"/>
      <c r="AG2" s="16" t="s">
        <v>23</v>
      </c>
      <c r="AH2" s="16"/>
      <c r="AI2" s="16" t="s">
        <v>24</v>
      </c>
      <c r="AJ2" s="16"/>
      <c r="AK2" s="16" t="s">
        <v>25</v>
      </c>
      <c r="AL2" s="16"/>
      <c r="AM2" s="16" t="s">
        <v>26</v>
      </c>
      <c r="AN2" s="16"/>
      <c r="AO2" s="16" t="s">
        <v>27</v>
      </c>
      <c r="AP2" s="17"/>
      <c r="AQ2" s="16" t="s">
        <v>28</v>
      </c>
      <c r="AR2" s="16"/>
      <c r="AS2" s="16" t="s">
        <v>29</v>
      </c>
      <c r="AT2" s="16"/>
      <c r="AU2" s="16" t="s">
        <v>30</v>
      </c>
      <c r="AV2" s="16"/>
      <c r="AW2" s="16" t="s">
        <v>31</v>
      </c>
      <c r="AX2" s="16"/>
      <c r="AY2" s="16" t="s">
        <v>32</v>
      </c>
      <c r="AZ2" s="17"/>
    </row>
    <row r="3" spans="2:52" x14ac:dyDescent="0.25">
      <c r="B3" s="6" t="s">
        <v>5</v>
      </c>
      <c r="C3" t="s">
        <v>6</v>
      </c>
      <c r="D3" t="s">
        <v>7</v>
      </c>
      <c r="E3" t="s">
        <v>6</v>
      </c>
      <c r="F3" t="s">
        <v>7</v>
      </c>
      <c r="G3" t="s">
        <v>6</v>
      </c>
      <c r="H3" t="s">
        <v>7</v>
      </c>
      <c r="I3" t="s">
        <v>6</v>
      </c>
      <c r="J3" t="s">
        <v>7</v>
      </c>
      <c r="K3" t="s">
        <v>6</v>
      </c>
      <c r="L3" t="s">
        <v>7</v>
      </c>
      <c r="M3" t="s">
        <v>6</v>
      </c>
      <c r="N3" t="s">
        <v>7</v>
      </c>
      <c r="O3" t="s">
        <v>6</v>
      </c>
      <c r="P3" t="s">
        <v>7</v>
      </c>
      <c r="Q3" t="s">
        <v>6</v>
      </c>
      <c r="R3" t="s">
        <v>7</v>
      </c>
      <c r="S3" t="s">
        <v>6</v>
      </c>
      <c r="T3" t="s">
        <v>7</v>
      </c>
      <c r="U3" t="s">
        <v>6</v>
      </c>
      <c r="V3" t="s">
        <v>7</v>
      </c>
      <c r="W3" s="7" t="s">
        <v>6</v>
      </c>
      <c r="X3" s="7" t="s">
        <v>7</v>
      </c>
      <c r="Y3" s="7" t="s">
        <v>6</v>
      </c>
      <c r="Z3" s="7" t="s">
        <v>7</v>
      </c>
      <c r="AA3" s="7" t="s">
        <v>6</v>
      </c>
      <c r="AB3" s="7" t="s">
        <v>7</v>
      </c>
      <c r="AC3" s="7" t="s">
        <v>6</v>
      </c>
      <c r="AD3" s="7" t="s">
        <v>7</v>
      </c>
      <c r="AE3" s="7" t="s">
        <v>6</v>
      </c>
      <c r="AF3" s="7" t="s">
        <v>7</v>
      </c>
      <c r="AG3" s="7" t="s">
        <v>6</v>
      </c>
      <c r="AH3" s="7" t="s">
        <v>7</v>
      </c>
      <c r="AI3" s="7" t="s">
        <v>6</v>
      </c>
      <c r="AJ3" s="7" t="s">
        <v>7</v>
      </c>
      <c r="AK3" s="7" t="s">
        <v>6</v>
      </c>
      <c r="AL3" s="7" t="s">
        <v>7</v>
      </c>
      <c r="AM3" s="7" t="s">
        <v>6</v>
      </c>
      <c r="AN3" s="7" t="s">
        <v>7</v>
      </c>
      <c r="AO3" s="7" t="s">
        <v>6</v>
      </c>
      <c r="AP3" s="8" t="s">
        <v>7</v>
      </c>
      <c r="AQ3" s="7" t="s">
        <v>6</v>
      </c>
      <c r="AR3" s="7" t="s">
        <v>7</v>
      </c>
      <c r="AS3" s="7" t="s">
        <v>6</v>
      </c>
      <c r="AT3" s="7" t="s">
        <v>7</v>
      </c>
      <c r="AU3" s="7" t="s">
        <v>6</v>
      </c>
      <c r="AV3" s="7" t="s">
        <v>7</v>
      </c>
      <c r="AW3" s="7" t="s">
        <v>6</v>
      </c>
      <c r="AX3" s="7" t="s">
        <v>7</v>
      </c>
      <c r="AY3" s="7" t="s">
        <v>6</v>
      </c>
      <c r="AZ3" s="8" t="s">
        <v>7</v>
      </c>
    </row>
    <row r="4" spans="2:52" x14ac:dyDescent="0.25">
      <c r="B4" s="6" t="s">
        <v>8</v>
      </c>
      <c r="C4">
        <v>15.15</v>
      </c>
      <c r="D4">
        <v>15.21</v>
      </c>
      <c r="E4">
        <v>51.23</v>
      </c>
      <c r="F4">
        <v>2.9</v>
      </c>
      <c r="G4">
        <v>148.06</v>
      </c>
      <c r="H4">
        <v>70.37</v>
      </c>
      <c r="I4">
        <v>113.5</v>
      </c>
      <c r="J4">
        <v>51.2</v>
      </c>
      <c r="K4">
        <v>82</v>
      </c>
      <c r="L4">
        <v>40.04</v>
      </c>
      <c r="M4">
        <v>136.34</v>
      </c>
      <c r="N4">
        <v>108.13</v>
      </c>
      <c r="O4">
        <v>199.87</v>
      </c>
      <c r="P4">
        <v>121.31</v>
      </c>
      <c r="Q4">
        <v>204.78</v>
      </c>
      <c r="R4">
        <v>181.33</v>
      </c>
      <c r="S4">
        <v>152.96</v>
      </c>
      <c r="T4">
        <v>120.68</v>
      </c>
      <c r="U4">
        <v>105.26</v>
      </c>
      <c r="V4">
        <v>109.43</v>
      </c>
      <c r="W4" s="1">
        <v>25.48</v>
      </c>
      <c r="X4" s="1">
        <v>26.14</v>
      </c>
      <c r="Y4" s="9">
        <f t="shared" ref="Y4:AF4" si="0">Y5+Y6</f>
        <v>41.082800299500001</v>
      </c>
      <c r="Z4" s="9">
        <f t="shared" si="0"/>
        <v>48.220629480000007</v>
      </c>
      <c r="AA4" s="9">
        <f t="shared" si="0"/>
        <v>76.479337339500006</v>
      </c>
      <c r="AB4" s="9">
        <f t="shared" si="0"/>
        <v>115.98686306</v>
      </c>
      <c r="AC4" s="9">
        <f t="shared" si="0"/>
        <v>137.291</v>
      </c>
      <c r="AD4" s="9">
        <f t="shared" si="0"/>
        <v>150.803</v>
      </c>
      <c r="AE4" s="9">
        <f t="shared" si="0"/>
        <v>137.291</v>
      </c>
      <c r="AF4" s="9">
        <f t="shared" si="0"/>
        <v>150.803</v>
      </c>
      <c r="AG4" s="9">
        <f t="shared" ref="AG4:AP4" si="1">AG5+AG6</f>
        <v>28.713000000000001</v>
      </c>
      <c r="AH4" s="9">
        <f t="shared" si="1"/>
        <v>20.728999999999999</v>
      </c>
      <c r="AI4" s="9">
        <f t="shared" si="1"/>
        <v>57.399000000000001</v>
      </c>
      <c r="AJ4" s="9">
        <f t="shared" si="1"/>
        <v>64.863</v>
      </c>
      <c r="AK4" s="9">
        <f t="shared" si="1"/>
        <v>94.131</v>
      </c>
      <c r="AL4" s="9">
        <f t="shared" si="1"/>
        <v>106.807</v>
      </c>
      <c r="AM4" s="9">
        <f t="shared" si="1"/>
        <v>142.23099999999999</v>
      </c>
      <c r="AN4" s="9">
        <f t="shared" si="1"/>
        <v>148.178</v>
      </c>
      <c r="AO4" s="9">
        <f t="shared" si="1"/>
        <v>142.23099999999999</v>
      </c>
      <c r="AP4" s="10">
        <f t="shared" si="1"/>
        <v>148.178</v>
      </c>
      <c r="AQ4" s="9">
        <f t="shared" ref="AQ4:AY4" si="2">AQ5+AQ6+AQ7</f>
        <v>41.393000000000001</v>
      </c>
      <c r="AR4" s="9">
        <f t="shared" si="2"/>
        <v>43.274000000000001</v>
      </c>
      <c r="AS4" s="9">
        <f t="shared" si="2"/>
        <v>82.658000000000001</v>
      </c>
      <c r="AT4" s="9">
        <f t="shared" si="2"/>
        <v>111.93099999999998</v>
      </c>
      <c r="AU4" s="9">
        <f t="shared" si="2"/>
        <v>160.739</v>
      </c>
      <c r="AV4" s="9">
        <f t="shared" si="2"/>
        <v>155.98699999999999</v>
      </c>
      <c r="AW4" s="9">
        <f t="shared" si="2"/>
        <v>0</v>
      </c>
      <c r="AX4" s="9">
        <f t="shared" si="2"/>
        <v>0</v>
      </c>
      <c r="AY4" s="9">
        <f t="shared" si="2"/>
        <v>238.672</v>
      </c>
      <c r="AZ4" s="10">
        <f t="shared" ref="AZ4" si="3">AZ5+AZ6</f>
        <v>0</v>
      </c>
    </row>
    <row r="5" spans="2:52" x14ac:dyDescent="0.25">
      <c r="B5" s="6" t="s">
        <v>9</v>
      </c>
      <c r="C5" t="s">
        <v>10</v>
      </c>
      <c r="D5" t="s">
        <v>10</v>
      </c>
      <c r="E5">
        <v>50</v>
      </c>
      <c r="F5" t="s">
        <v>10</v>
      </c>
      <c r="G5">
        <v>112</v>
      </c>
      <c r="H5">
        <v>50.13</v>
      </c>
      <c r="I5">
        <v>93.25</v>
      </c>
      <c r="J5">
        <v>45.06</v>
      </c>
      <c r="K5">
        <v>76.44</v>
      </c>
      <c r="L5">
        <v>36.99</v>
      </c>
      <c r="M5">
        <v>120.16</v>
      </c>
      <c r="N5">
        <v>98.95</v>
      </c>
      <c r="O5">
        <v>191.47</v>
      </c>
      <c r="P5">
        <v>113.17</v>
      </c>
      <c r="Q5">
        <v>197.43</v>
      </c>
      <c r="R5">
        <v>171.84</v>
      </c>
      <c r="S5">
        <v>104.3</v>
      </c>
      <c r="T5">
        <v>70.349999999999994</v>
      </c>
      <c r="U5">
        <v>102.14</v>
      </c>
      <c r="V5">
        <v>91.06</v>
      </c>
      <c r="W5">
        <v>22.6</v>
      </c>
      <c r="X5">
        <v>20.96</v>
      </c>
      <c r="Y5" s="2">
        <v>35.835999999999999</v>
      </c>
      <c r="Z5" s="2">
        <v>39.924507250000005</v>
      </c>
      <c r="AA5" s="2">
        <v>67.436000000000007</v>
      </c>
      <c r="AB5" s="2">
        <v>99.887062170000007</v>
      </c>
      <c r="AC5" s="2">
        <v>125.38800000000001</v>
      </c>
      <c r="AD5" s="2">
        <v>129.30500000000001</v>
      </c>
      <c r="AE5" s="2">
        <f t="shared" ref="AE5:AF7" si="4">AC5</f>
        <v>125.38800000000001</v>
      </c>
      <c r="AF5" s="2">
        <f t="shared" si="4"/>
        <v>129.30500000000001</v>
      </c>
      <c r="AG5">
        <f>25195/1000</f>
        <v>25.195</v>
      </c>
      <c r="AH5">
        <f>16457/1000</f>
        <v>16.457000000000001</v>
      </c>
      <c r="AI5" s="2">
        <f>50390/1000</f>
        <v>50.39</v>
      </c>
      <c r="AJ5" s="2">
        <f>57044/1000</f>
        <v>57.043999999999997</v>
      </c>
      <c r="AK5" s="2">
        <f>83649/1000</f>
        <v>83.649000000000001</v>
      </c>
      <c r="AL5" s="2">
        <f>94503/1000</f>
        <v>94.503</v>
      </c>
      <c r="AM5" s="2">
        <f>128280/1000</f>
        <v>128.28</v>
      </c>
      <c r="AN5" s="2">
        <f>131962/1000</f>
        <v>131.96199999999999</v>
      </c>
      <c r="AO5" s="2">
        <f>128280/1000</f>
        <v>128.28</v>
      </c>
      <c r="AP5" s="11">
        <f>AN5</f>
        <v>131.96199999999999</v>
      </c>
      <c r="AQ5" s="2">
        <f>36902/1000</f>
        <v>36.902000000000001</v>
      </c>
      <c r="AR5" s="2">
        <f>36902/1000</f>
        <v>36.902000000000001</v>
      </c>
      <c r="AS5" s="2">
        <f>73803/1000</f>
        <v>73.802999999999997</v>
      </c>
      <c r="AT5" s="2">
        <f>73803/1000</f>
        <v>73.802999999999997</v>
      </c>
      <c r="AU5" s="2">
        <f>147346/1000</f>
        <v>147.346</v>
      </c>
      <c r="AV5" s="2">
        <f>110705/1000</f>
        <v>110.705</v>
      </c>
      <c r="AW5" s="2"/>
      <c r="AX5" s="2"/>
      <c r="AY5" s="2">
        <f>220890/1000</f>
        <v>220.89</v>
      </c>
      <c r="AZ5" s="11"/>
    </row>
    <row r="6" spans="2:52" x14ac:dyDescent="0.25">
      <c r="B6" s="6" t="s">
        <v>11</v>
      </c>
      <c r="C6">
        <v>0.15</v>
      </c>
      <c r="D6">
        <v>0.21</v>
      </c>
      <c r="E6">
        <v>1.23</v>
      </c>
      <c r="F6">
        <v>0.9</v>
      </c>
      <c r="G6">
        <v>3.06</v>
      </c>
      <c r="H6">
        <v>2.38</v>
      </c>
      <c r="I6">
        <v>5.25</v>
      </c>
      <c r="J6">
        <v>3</v>
      </c>
      <c r="K6">
        <v>2.56</v>
      </c>
      <c r="L6">
        <v>3.05</v>
      </c>
      <c r="M6">
        <v>4.18</v>
      </c>
      <c r="N6">
        <v>3.18</v>
      </c>
      <c r="O6">
        <v>4.8</v>
      </c>
      <c r="P6">
        <v>4.54</v>
      </c>
      <c r="Q6">
        <v>4.95</v>
      </c>
      <c r="R6">
        <v>7.09</v>
      </c>
      <c r="S6">
        <v>5.33</v>
      </c>
      <c r="T6">
        <v>6.99</v>
      </c>
      <c r="U6">
        <v>3.12</v>
      </c>
      <c r="V6">
        <v>18.38</v>
      </c>
      <c r="W6">
        <v>2.88</v>
      </c>
      <c r="X6">
        <v>5.19</v>
      </c>
      <c r="Y6" s="2">
        <v>5.2468002994999994</v>
      </c>
      <c r="Z6" s="2">
        <v>8.2961222300000017</v>
      </c>
      <c r="AA6" s="2">
        <v>9.0433373394999972</v>
      </c>
      <c r="AB6" s="2">
        <v>16.099800890000001</v>
      </c>
      <c r="AC6" s="2">
        <v>11.903</v>
      </c>
      <c r="AD6" s="2">
        <v>21.498000000000001</v>
      </c>
      <c r="AE6" s="2">
        <f t="shared" si="4"/>
        <v>11.903</v>
      </c>
      <c r="AF6" s="2">
        <f t="shared" si="4"/>
        <v>21.498000000000001</v>
      </c>
      <c r="AG6">
        <f>3518/1000</f>
        <v>3.5179999999999998</v>
      </c>
      <c r="AH6">
        <f>4272/1000</f>
        <v>4.2720000000000002</v>
      </c>
      <c r="AI6" s="2">
        <v>7.0090000000000003</v>
      </c>
      <c r="AJ6" s="2">
        <v>7.819</v>
      </c>
      <c r="AK6" s="2">
        <v>10.481999999999999</v>
      </c>
      <c r="AL6" s="2">
        <v>12.304</v>
      </c>
      <c r="AM6" s="2">
        <v>13.951000000000001</v>
      </c>
      <c r="AN6" s="2">
        <v>16.216000000000001</v>
      </c>
      <c r="AO6" s="2">
        <v>13.951000000000001</v>
      </c>
      <c r="AP6" s="11">
        <f t="shared" ref="AP6:AP7" si="5">AN6</f>
        <v>16.216000000000001</v>
      </c>
      <c r="AQ6" s="2">
        <f>4491/1000</f>
        <v>4.4909999999999997</v>
      </c>
      <c r="AR6" s="2">
        <v>6.3719999999999999</v>
      </c>
      <c r="AS6" s="2">
        <v>8.8550000000000004</v>
      </c>
      <c r="AT6" s="2">
        <v>12.972</v>
      </c>
      <c r="AU6" s="2">
        <v>13.393000000000001</v>
      </c>
      <c r="AV6" s="2">
        <v>20.126000000000001</v>
      </c>
      <c r="AW6" s="2"/>
      <c r="AX6" s="2"/>
      <c r="AY6" s="2">
        <f>17782/1000</f>
        <v>17.782</v>
      </c>
      <c r="AZ6" s="11"/>
    </row>
    <row r="7" spans="2:52" x14ac:dyDescent="0.25">
      <c r="B7" s="6" t="s">
        <v>12</v>
      </c>
      <c r="C7">
        <v>15</v>
      </c>
      <c r="D7">
        <v>15</v>
      </c>
      <c r="E7" t="s">
        <v>10</v>
      </c>
      <c r="F7">
        <v>2</v>
      </c>
      <c r="G7">
        <v>33</v>
      </c>
      <c r="H7">
        <v>17.86</v>
      </c>
      <c r="I7">
        <v>15</v>
      </c>
      <c r="J7">
        <v>3.14</v>
      </c>
      <c r="K7">
        <v>3</v>
      </c>
      <c r="L7" t="s">
        <v>10</v>
      </c>
      <c r="M7">
        <v>12</v>
      </c>
      <c r="N7">
        <v>6</v>
      </c>
      <c r="O7">
        <v>3.6</v>
      </c>
      <c r="P7">
        <v>3.6</v>
      </c>
      <c r="Q7">
        <v>2.4</v>
      </c>
      <c r="R7">
        <v>2.4</v>
      </c>
      <c r="S7">
        <v>43.33</v>
      </c>
      <c r="T7">
        <v>43.33</v>
      </c>
      <c r="U7">
        <v>0</v>
      </c>
      <c r="V7">
        <v>0</v>
      </c>
      <c r="W7">
        <v>0</v>
      </c>
      <c r="X7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f t="shared" si="4"/>
        <v>0</v>
      </c>
      <c r="AF7" s="2">
        <f t="shared" si="4"/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11">
        <f t="shared" si="5"/>
        <v>0</v>
      </c>
      <c r="AQ7" s="2">
        <v>0</v>
      </c>
      <c r="AR7" s="2">
        <v>0</v>
      </c>
      <c r="AS7" s="2">
        <v>0</v>
      </c>
      <c r="AT7" s="2">
        <v>25.155999999999999</v>
      </c>
      <c r="AU7" s="2"/>
      <c r="AV7" s="2">
        <v>25.155999999999999</v>
      </c>
      <c r="AW7" s="2"/>
      <c r="AX7" s="2"/>
      <c r="AY7" s="2">
        <v>0</v>
      </c>
      <c r="AZ7" s="11"/>
    </row>
    <row r="8" spans="2:52" x14ac:dyDescent="0.25">
      <c r="B8" s="6" t="s">
        <v>13</v>
      </c>
      <c r="C8">
        <v>2.0099999999999998</v>
      </c>
      <c r="D8">
        <v>0.76</v>
      </c>
      <c r="E8">
        <v>41.62</v>
      </c>
      <c r="F8">
        <v>21.02</v>
      </c>
      <c r="G8">
        <v>119.58</v>
      </c>
      <c r="H8">
        <v>46.36</v>
      </c>
      <c r="I8">
        <v>97.09</v>
      </c>
      <c r="J8">
        <v>42.17</v>
      </c>
      <c r="K8">
        <v>79.91</v>
      </c>
      <c r="L8">
        <v>40.17</v>
      </c>
      <c r="M8">
        <v>122.09</v>
      </c>
      <c r="N8">
        <v>70.48</v>
      </c>
      <c r="O8">
        <v>157.13</v>
      </c>
      <c r="P8">
        <v>94.55</v>
      </c>
      <c r="Q8">
        <v>195.12</v>
      </c>
      <c r="R8">
        <v>140.69999999999999</v>
      </c>
      <c r="S8">
        <v>104.81</v>
      </c>
      <c r="T8">
        <v>79.95</v>
      </c>
      <c r="U8">
        <v>109.16</v>
      </c>
      <c r="V8">
        <v>87.69</v>
      </c>
      <c r="W8" s="1">
        <v>27.97</v>
      </c>
      <c r="X8" s="1">
        <v>21.06</v>
      </c>
      <c r="Y8" s="9">
        <f>SUM(Y9:Y16)</f>
        <v>47.527598321578054</v>
      </c>
      <c r="Z8" s="9">
        <f>SUM(Z9:Z16)</f>
        <v>38.364412359999996</v>
      </c>
      <c r="AA8" s="9">
        <f>SUM(AA9:AA16)</f>
        <v>91.014696631821479</v>
      </c>
      <c r="AB8" s="9">
        <f>SUM(AB9:AB16)</f>
        <v>88.645335280000012</v>
      </c>
      <c r="AC8" s="9">
        <f t="shared" ref="AC8:AH8" si="6">SUM(AC9:AC16)</f>
        <v>136.28099999999998</v>
      </c>
      <c r="AD8" s="9">
        <f t="shared" si="6"/>
        <v>115.56220000000002</v>
      </c>
      <c r="AE8" s="9">
        <f t="shared" si="6"/>
        <v>136.28099999999998</v>
      </c>
      <c r="AF8" s="9">
        <f t="shared" si="6"/>
        <v>115.56220000000002</v>
      </c>
      <c r="AG8" s="9">
        <f t="shared" si="6"/>
        <v>29.510999999999999</v>
      </c>
      <c r="AH8" s="9">
        <f t="shared" si="6"/>
        <v>21.261999999999997</v>
      </c>
      <c r="AI8" s="9">
        <f>SUM(AI9:AI16)</f>
        <v>61.158999999999999</v>
      </c>
      <c r="AJ8" s="9">
        <f>SUM(AJ9:AJ16)</f>
        <v>52.753000000000007</v>
      </c>
      <c r="AK8" s="9">
        <f>SUM(AK9:AK16)</f>
        <v>98.998999999999981</v>
      </c>
      <c r="AL8" s="9">
        <f>SUM(AL9:AL16)</f>
        <v>83.451999999999998</v>
      </c>
      <c r="AM8" s="9">
        <f t="shared" ref="AM8:AR8" si="7">SUM(AM9:AM16)</f>
        <v>145.27099999999999</v>
      </c>
      <c r="AN8" s="9">
        <f t="shared" si="7"/>
        <v>126.19</v>
      </c>
      <c r="AO8" s="9">
        <f t="shared" si="7"/>
        <v>145.27099999999999</v>
      </c>
      <c r="AP8" s="10">
        <f t="shared" si="7"/>
        <v>126.19</v>
      </c>
      <c r="AQ8" s="9">
        <f t="shared" si="7"/>
        <v>55.959000000000003</v>
      </c>
      <c r="AR8" s="9">
        <f t="shared" si="7"/>
        <v>33.673999999999999</v>
      </c>
      <c r="AS8" s="9">
        <f>SUM(AS9:AS16)</f>
        <v>110.35100000000001</v>
      </c>
      <c r="AT8" s="9">
        <f>SUM(AT9:AT16)</f>
        <v>67.689000000000007</v>
      </c>
      <c r="AU8" s="9">
        <f>SUM(AU9:AU16)</f>
        <v>169.31300000000002</v>
      </c>
      <c r="AV8" s="9">
        <f>SUM(AV9:AV16)</f>
        <v>104.33999999999999</v>
      </c>
      <c r="AW8" s="9">
        <f t="shared" ref="AW8:AZ8" si="8">SUM(AW9:AW16)</f>
        <v>0</v>
      </c>
      <c r="AX8" s="9">
        <f t="shared" si="8"/>
        <v>0</v>
      </c>
      <c r="AY8" s="9">
        <f t="shared" si="8"/>
        <v>239.22000000000003</v>
      </c>
      <c r="AZ8" s="10">
        <f t="shared" si="8"/>
        <v>0</v>
      </c>
    </row>
    <row r="9" spans="2:52" x14ac:dyDescent="0.25">
      <c r="B9" s="6" t="s">
        <v>14</v>
      </c>
      <c r="C9" t="s">
        <v>10</v>
      </c>
      <c r="D9" t="s">
        <v>10</v>
      </c>
      <c r="E9">
        <v>5.52</v>
      </c>
      <c r="F9">
        <v>0.38</v>
      </c>
      <c r="G9">
        <v>22.97</v>
      </c>
      <c r="H9">
        <v>5.27</v>
      </c>
      <c r="I9">
        <v>19.190000000000001</v>
      </c>
      <c r="J9">
        <v>1.01</v>
      </c>
      <c r="K9">
        <v>10.28</v>
      </c>
      <c r="L9">
        <v>1.83</v>
      </c>
      <c r="M9">
        <v>36.53</v>
      </c>
      <c r="N9">
        <v>0.74</v>
      </c>
      <c r="O9">
        <v>40.340000000000003</v>
      </c>
      <c r="P9">
        <v>16.41</v>
      </c>
      <c r="Q9">
        <v>61.92</v>
      </c>
      <c r="R9">
        <v>26.11</v>
      </c>
      <c r="S9">
        <v>11.42</v>
      </c>
      <c r="T9">
        <v>5.0999999999999996</v>
      </c>
      <c r="U9">
        <v>17.27</v>
      </c>
      <c r="V9">
        <v>4.3499999999999996</v>
      </c>
      <c r="W9">
        <v>4.34</v>
      </c>
      <c r="X9">
        <v>1.1000000000000001</v>
      </c>
      <c r="Y9" s="2">
        <v>7.2636321679969642</v>
      </c>
      <c r="Z9" s="2">
        <v>1.7532509000000001</v>
      </c>
      <c r="AA9" s="2">
        <v>17.374859116421479</v>
      </c>
      <c r="AB9" s="2">
        <v>10.075346779999999</v>
      </c>
      <c r="AC9" s="2">
        <v>24.135000000000002</v>
      </c>
      <c r="AD9" s="2">
        <v>11.919</v>
      </c>
      <c r="AE9" s="2">
        <f>AC9</f>
        <v>24.135000000000002</v>
      </c>
      <c r="AF9" s="2">
        <f>AD9</f>
        <v>11.919</v>
      </c>
      <c r="AG9">
        <f>2831/1000</f>
        <v>2.831</v>
      </c>
      <c r="AH9">
        <f>2432/1000</f>
        <v>2.4319999999999999</v>
      </c>
      <c r="AI9">
        <f>8328/1000</f>
        <v>8.3279999999999994</v>
      </c>
      <c r="AJ9">
        <f>4971/1000</f>
        <v>4.9710000000000001</v>
      </c>
      <c r="AK9" s="2">
        <v>14.241</v>
      </c>
      <c r="AL9" s="2">
        <v>7.4290000000000003</v>
      </c>
      <c r="AM9" s="2">
        <v>22.161000000000001</v>
      </c>
      <c r="AN9" s="2">
        <v>19.501999999999999</v>
      </c>
      <c r="AO9" s="2">
        <v>22.161000000000001</v>
      </c>
      <c r="AP9" s="11">
        <f>AN9</f>
        <v>19.501999999999999</v>
      </c>
      <c r="AQ9" s="2">
        <f>10255/1000</f>
        <v>10.255000000000001</v>
      </c>
      <c r="AR9" s="2">
        <v>1.7629999999999999</v>
      </c>
      <c r="AS9" s="2">
        <f>20899/1000</f>
        <v>20.899000000000001</v>
      </c>
      <c r="AT9" s="2">
        <f>3408/1000</f>
        <v>3.4079999999999999</v>
      </c>
      <c r="AU9" s="2">
        <v>26.076000000000001</v>
      </c>
      <c r="AV9" s="2">
        <v>4.782</v>
      </c>
      <c r="AW9" s="2"/>
      <c r="AX9" s="2"/>
      <c r="AY9" s="2">
        <v>30.004000000000001</v>
      </c>
      <c r="AZ9" s="11"/>
    </row>
    <row r="10" spans="2:52" x14ac:dyDescent="0.25">
      <c r="B10" s="6" t="s">
        <v>15</v>
      </c>
      <c r="C10">
        <v>1.64</v>
      </c>
      <c r="D10">
        <v>0.75</v>
      </c>
      <c r="E10">
        <v>18.46</v>
      </c>
      <c r="F10">
        <v>15.88</v>
      </c>
      <c r="G10">
        <v>42.41</v>
      </c>
      <c r="H10">
        <v>21.98</v>
      </c>
      <c r="I10">
        <v>40.049999999999997</v>
      </c>
      <c r="J10">
        <v>23.28</v>
      </c>
      <c r="K10">
        <v>36.159999999999997</v>
      </c>
      <c r="L10">
        <v>23.08</v>
      </c>
      <c r="M10">
        <v>34.9</v>
      </c>
      <c r="N10">
        <v>28.93</v>
      </c>
      <c r="O10">
        <v>39.78</v>
      </c>
      <c r="P10">
        <v>31.43</v>
      </c>
      <c r="Q10">
        <v>45.35</v>
      </c>
      <c r="R10">
        <v>42.94</v>
      </c>
      <c r="S10">
        <v>46.08</v>
      </c>
      <c r="T10">
        <v>44</v>
      </c>
      <c r="U10">
        <v>48.42</v>
      </c>
      <c r="V10">
        <v>44.77</v>
      </c>
      <c r="W10">
        <v>12.02</v>
      </c>
      <c r="X10">
        <v>11.1</v>
      </c>
      <c r="Y10" s="2">
        <v>20.608646047534233</v>
      </c>
      <c r="Z10" s="2">
        <v>19.106342419999994</v>
      </c>
      <c r="AA10" s="2">
        <v>36.625478780235611</v>
      </c>
      <c r="AB10" s="2">
        <v>34.719115410000008</v>
      </c>
      <c r="AC10" s="2">
        <f>41.877+7.17+1.635</f>
        <v>50.682000000000002</v>
      </c>
      <c r="AD10" s="2">
        <f>40.25+6.147+1.215</f>
        <v>47.612000000000002</v>
      </c>
      <c r="AE10" s="2">
        <f t="shared" ref="AE10:AF16" si="9">AC10</f>
        <v>50.682000000000002</v>
      </c>
      <c r="AF10" s="2">
        <f t="shared" si="9"/>
        <v>47.612000000000002</v>
      </c>
      <c r="AG10">
        <f>(11102+1425+407)/1000</f>
        <v>12.933999999999999</v>
      </c>
      <c r="AH10">
        <f>(10514+999+334)/1000</f>
        <v>11.847</v>
      </c>
      <c r="AI10">
        <f>(22522+2850+813)/1000</f>
        <v>26.184999999999999</v>
      </c>
      <c r="AJ10">
        <f>(20894+2311+744)/1000</f>
        <v>23.949000000000002</v>
      </c>
      <c r="AK10" s="2">
        <f>(36039+4276+1220)/1000</f>
        <v>41.534999999999997</v>
      </c>
      <c r="AL10" s="2">
        <f>(31060+3115+1100)/1000</f>
        <v>35.274999999999999</v>
      </c>
      <c r="AM10" s="2">
        <f>(51655+6060+1627)/1000</f>
        <v>59.341999999999999</v>
      </c>
      <c r="AN10" s="2">
        <f>(43885+4115+1514)/1000</f>
        <v>49.514000000000003</v>
      </c>
      <c r="AO10" s="2">
        <f>SUM(51655+6060+1627)/1000</f>
        <v>59.341999999999999</v>
      </c>
      <c r="AP10" s="11">
        <f t="shared" ref="AP10:AP16" si="10">AN10</f>
        <v>49.514000000000003</v>
      </c>
      <c r="AQ10" s="2">
        <f>(18793+3045+455)/1000</f>
        <v>22.292999999999999</v>
      </c>
      <c r="AR10" s="2">
        <f>(12103+809+355)/1000</f>
        <v>13.266999999999999</v>
      </c>
      <c r="AS10">
        <f>+(41179+5472+909)/1000</f>
        <v>47.56</v>
      </c>
      <c r="AT10" s="2">
        <f>+(24294+2581+819)/1000</f>
        <v>27.693999999999999</v>
      </c>
      <c r="AU10" s="2">
        <f>+(63293+6935+1364)/1000</f>
        <v>71.591999999999999</v>
      </c>
      <c r="AV10" s="2">
        <f>+(36451+3870+1242)/1000</f>
        <v>41.563000000000002</v>
      </c>
      <c r="AW10" s="2"/>
      <c r="AX10" s="2"/>
      <c r="AY10" s="2">
        <f>(89407+8397+1819)/1000</f>
        <v>99.623000000000005</v>
      </c>
      <c r="AZ10" s="11"/>
    </row>
    <row r="11" spans="2:52" x14ac:dyDescent="0.25">
      <c r="B11" s="6" t="s">
        <v>16</v>
      </c>
      <c r="C11">
        <v>0.36</v>
      </c>
      <c r="D11">
        <v>0.01</v>
      </c>
      <c r="E11">
        <v>7.89</v>
      </c>
      <c r="F11">
        <v>3.17</v>
      </c>
      <c r="G11">
        <v>15.95</v>
      </c>
      <c r="H11">
        <v>5.75</v>
      </c>
      <c r="I11">
        <v>18.53</v>
      </c>
      <c r="J11">
        <v>5.73</v>
      </c>
      <c r="K11">
        <v>20.03</v>
      </c>
      <c r="L11">
        <v>7.42</v>
      </c>
      <c r="M11">
        <v>11.89</v>
      </c>
      <c r="N11">
        <v>8.33</v>
      </c>
      <c r="O11">
        <v>16.66</v>
      </c>
      <c r="P11">
        <v>9.8800000000000008</v>
      </c>
      <c r="Q11">
        <v>24.4</v>
      </c>
      <c r="R11">
        <v>13.58</v>
      </c>
      <c r="S11">
        <v>23.31</v>
      </c>
      <c r="T11">
        <v>14.91</v>
      </c>
      <c r="U11">
        <v>24.83</v>
      </c>
      <c r="V11">
        <v>15.87</v>
      </c>
      <c r="W11">
        <v>7.04</v>
      </c>
      <c r="X11">
        <v>3.1</v>
      </c>
      <c r="Y11" s="2">
        <v>12.215785962516936</v>
      </c>
      <c r="Z11" s="2">
        <v>6.0447128799999996</v>
      </c>
      <c r="AA11" s="2">
        <v>23.642416104538498</v>
      </c>
      <c r="AB11" s="2">
        <v>10.782458920000002</v>
      </c>
      <c r="AC11" s="2">
        <v>33.192999999999998</v>
      </c>
      <c r="AD11" s="2">
        <v>15.1952</v>
      </c>
      <c r="AE11" s="2">
        <f t="shared" si="9"/>
        <v>33.192999999999998</v>
      </c>
      <c r="AF11" s="2">
        <f t="shared" si="9"/>
        <v>15.1952</v>
      </c>
      <c r="AG11">
        <f>9049/1000</f>
        <v>9.0489999999999995</v>
      </c>
      <c r="AH11">
        <f>3713/1000</f>
        <v>3.7130000000000001</v>
      </c>
      <c r="AI11">
        <f>17341/1000</f>
        <v>17.341000000000001</v>
      </c>
      <c r="AJ11">
        <f>8042/1000</f>
        <v>8.0419999999999998</v>
      </c>
      <c r="AK11" s="2">
        <v>28.044</v>
      </c>
      <c r="AL11" s="2">
        <v>14.359</v>
      </c>
      <c r="AM11" s="2">
        <f>38181/1000</f>
        <v>38.180999999999997</v>
      </c>
      <c r="AN11" s="2">
        <v>21.053000000000001</v>
      </c>
      <c r="AO11" s="2">
        <f>38181/1000</f>
        <v>38.180999999999997</v>
      </c>
      <c r="AP11" s="11">
        <f t="shared" si="10"/>
        <v>21.053000000000001</v>
      </c>
      <c r="AQ11" s="2">
        <f>14018/1000</f>
        <v>14.018000000000001</v>
      </c>
      <c r="AR11" s="2">
        <v>7.0960000000000001</v>
      </c>
      <c r="AS11" s="2">
        <f>25221/1000</f>
        <v>25.221</v>
      </c>
      <c r="AT11" s="2">
        <f>13735/1000</f>
        <v>13.734999999999999</v>
      </c>
      <c r="AU11" s="2">
        <f>41832/1000</f>
        <v>41.832000000000001</v>
      </c>
      <c r="AV11" s="2">
        <v>24.92</v>
      </c>
      <c r="AW11" s="2"/>
      <c r="AX11" s="2"/>
      <c r="AY11" s="2">
        <f>63922/1000</f>
        <v>63.921999999999997</v>
      </c>
      <c r="AZ11" s="11"/>
    </row>
    <row r="12" spans="2:52" x14ac:dyDescent="0.25">
      <c r="B12" s="6" t="s">
        <v>17</v>
      </c>
      <c r="C12" t="s">
        <v>10</v>
      </c>
      <c r="D12" t="s">
        <v>10</v>
      </c>
      <c r="E12">
        <v>0.04</v>
      </c>
      <c r="F12">
        <v>0.03</v>
      </c>
      <c r="G12">
        <v>0.08</v>
      </c>
      <c r="H12">
        <v>0.02</v>
      </c>
      <c r="I12">
        <v>0.03</v>
      </c>
      <c r="J12">
        <v>0.02</v>
      </c>
      <c r="K12">
        <v>0.02</v>
      </c>
      <c r="L12">
        <v>0.01</v>
      </c>
      <c r="M12">
        <v>0.04</v>
      </c>
      <c r="N12">
        <v>0.02</v>
      </c>
      <c r="O12">
        <v>0.05</v>
      </c>
      <c r="P12">
        <v>0.02</v>
      </c>
      <c r="Q12">
        <v>0.06</v>
      </c>
      <c r="R12">
        <v>0.01</v>
      </c>
      <c r="S12">
        <v>7.0000000000000007E-2</v>
      </c>
      <c r="T12">
        <v>0.02</v>
      </c>
      <c r="U12">
        <v>0.09</v>
      </c>
      <c r="V12">
        <v>0.02</v>
      </c>
      <c r="W12">
        <v>0.06</v>
      </c>
      <c r="X12">
        <v>0.02</v>
      </c>
      <c r="Y12" s="2">
        <v>9.3852353666794577E-2</v>
      </c>
      <c r="Z12" s="2">
        <v>1.9691110000000001E-2</v>
      </c>
      <c r="AA12" s="2">
        <v>0.15402551613288895</v>
      </c>
      <c r="AB12" s="2">
        <v>2.3936779999999998E-2</v>
      </c>
      <c r="AC12" s="2">
        <v>0.29299999999999998</v>
      </c>
      <c r="AD12" s="2">
        <v>2.8000000000000001E-2</v>
      </c>
      <c r="AE12" s="2">
        <f t="shared" si="9"/>
        <v>0.29299999999999998</v>
      </c>
      <c r="AF12" s="2">
        <f t="shared" si="9"/>
        <v>2.8000000000000001E-2</v>
      </c>
      <c r="AG12">
        <f>31/1000</f>
        <v>3.1E-2</v>
      </c>
      <c r="AH12">
        <f>3/1000</f>
        <v>3.0000000000000001E-3</v>
      </c>
      <c r="AI12">
        <f>49/1000</f>
        <v>4.9000000000000002E-2</v>
      </c>
      <c r="AJ12">
        <f>8/1000</f>
        <v>8.0000000000000002E-3</v>
      </c>
      <c r="AK12" s="2">
        <v>6.7000000000000004E-2</v>
      </c>
      <c r="AL12" s="2">
        <v>1.0999999999999999E-2</v>
      </c>
      <c r="AM12" s="2">
        <v>8.5000000000000006E-2</v>
      </c>
      <c r="AN12" s="2">
        <v>2.5000000000000001E-2</v>
      </c>
      <c r="AO12" s="2">
        <v>8.5000000000000006E-2</v>
      </c>
      <c r="AP12" s="11">
        <f t="shared" si="10"/>
        <v>2.5000000000000001E-2</v>
      </c>
      <c r="AQ12" s="2">
        <v>2.1000000000000001E-2</v>
      </c>
      <c r="AR12" s="2">
        <v>3.0000000000000001E-3</v>
      </c>
      <c r="AS12" s="2">
        <f>55/1000</f>
        <v>5.5E-2</v>
      </c>
      <c r="AT12" s="2">
        <f>4/1000</f>
        <v>4.0000000000000001E-3</v>
      </c>
      <c r="AU12" s="2">
        <v>8.6999999999999994E-2</v>
      </c>
      <c r="AV12" s="2">
        <v>1.4E-2</v>
      </c>
      <c r="AW12" s="2"/>
      <c r="AX12" s="2"/>
      <c r="AY12" s="2">
        <v>0.13200000000000001</v>
      </c>
      <c r="AZ12" s="11"/>
    </row>
    <row r="13" spans="2:52" x14ac:dyDescent="0.25">
      <c r="B13" s="6" t="s">
        <v>18</v>
      </c>
      <c r="C13" t="s">
        <v>10</v>
      </c>
      <c r="D13" t="s">
        <v>10</v>
      </c>
      <c r="E13">
        <v>0.3</v>
      </c>
      <c r="F13">
        <v>0.08</v>
      </c>
      <c r="G13">
        <v>0.63</v>
      </c>
      <c r="H13">
        <v>0.21</v>
      </c>
      <c r="I13">
        <v>0.24</v>
      </c>
      <c r="J13">
        <v>0.23</v>
      </c>
      <c r="K13">
        <v>0.31</v>
      </c>
      <c r="L13">
        <v>0.28999999999999998</v>
      </c>
      <c r="M13">
        <v>0.49</v>
      </c>
      <c r="N13">
        <v>0.48</v>
      </c>
      <c r="O13" t="s">
        <v>10</v>
      </c>
      <c r="P13" t="s">
        <v>10</v>
      </c>
      <c r="Q13" t="s">
        <v>10</v>
      </c>
      <c r="R13" t="s">
        <v>10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f t="shared" si="9"/>
        <v>0</v>
      </c>
      <c r="AF13" s="2">
        <f t="shared" si="9"/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11">
        <f t="shared" si="10"/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/>
      <c r="AX13" s="2"/>
      <c r="AY13" s="2">
        <v>0</v>
      </c>
      <c r="AZ13" s="11"/>
    </row>
    <row r="14" spans="2:52" x14ac:dyDescent="0.25">
      <c r="B14" s="6" t="s">
        <v>19</v>
      </c>
      <c r="C14" t="s">
        <v>10</v>
      </c>
      <c r="D14" t="s">
        <v>10</v>
      </c>
      <c r="E14">
        <v>7.37</v>
      </c>
      <c r="F14">
        <v>0.34</v>
      </c>
      <c r="G14">
        <v>26.7</v>
      </c>
      <c r="H14">
        <v>10.68</v>
      </c>
      <c r="I14">
        <v>15.83</v>
      </c>
      <c r="J14">
        <v>9.32</v>
      </c>
      <c r="K14">
        <v>9.73</v>
      </c>
      <c r="L14">
        <v>5.29</v>
      </c>
      <c r="M14">
        <v>35.409999999999997</v>
      </c>
      <c r="N14">
        <v>30.1</v>
      </c>
      <c r="O14">
        <v>55.46</v>
      </c>
      <c r="P14">
        <v>35.06</v>
      </c>
      <c r="Q14">
        <v>55.09</v>
      </c>
      <c r="R14">
        <v>53.22</v>
      </c>
      <c r="S14">
        <v>17.02</v>
      </c>
      <c r="T14">
        <v>10.26</v>
      </c>
      <c r="U14">
        <v>14.84</v>
      </c>
      <c r="V14">
        <v>19.07</v>
      </c>
      <c r="W14">
        <v>3.54</v>
      </c>
      <c r="X14">
        <v>5.1100000000000003</v>
      </c>
      <c r="Y14" s="2">
        <v>5.5123264365071947</v>
      </c>
      <c r="Z14" s="2">
        <v>10.187780109999999</v>
      </c>
      <c r="AA14" s="2">
        <v>10.191865408867194</v>
      </c>
      <c r="AB14" s="2">
        <v>30.682206789999999</v>
      </c>
      <c r="AC14" s="2">
        <v>24.100999999999999</v>
      </c>
      <c r="AD14" s="2">
        <v>37.773000000000003</v>
      </c>
      <c r="AE14" s="2">
        <f t="shared" si="9"/>
        <v>24.100999999999999</v>
      </c>
      <c r="AF14" s="2">
        <f t="shared" si="9"/>
        <v>37.773000000000003</v>
      </c>
      <c r="AG14">
        <f>3938/1000</f>
        <v>3.9380000000000002</v>
      </c>
      <c r="AH14">
        <f>2554/1000</f>
        <v>2.5539999999999998</v>
      </c>
      <c r="AI14">
        <f>7689/1000</f>
        <v>7.6890000000000001</v>
      </c>
      <c r="AJ14">
        <f>13600/1000</f>
        <v>13.6</v>
      </c>
      <c r="AK14" s="2">
        <v>12.773</v>
      </c>
      <c r="AL14" s="2">
        <v>23.582000000000001</v>
      </c>
      <c r="AM14" s="2">
        <v>22.492999999999999</v>
      </c>
      <c r="AN14" s="2">
        <v>32.442</v>
      </c>
      <c r="AO14" s="2">
        <v>22.492999999999999</v>
      </c>
      <c r="AP14" s="11">
        <f t="shared" si="10"/>
        <v>32.442</v>
      </c>
      <c r="AQ14" s="2">
        <v>5.7859999999999996</v>
      </c>
      <c r="AR14" s="2">
        <v>10.695</v>
      </c>
      <c r="AS14" s="2">
        <f>11243/1000</f>
        <v>11.243</v>
      </c>
      <c r="AT14" s="2">
        <f>20633/1000</f>
        <v>20.632999999999999</v>
      </c>
      <c r="AU14" s="2">
        <v>22.67</v>
      </c>
      <c r="AV14" s="2">
        <v>30.012</v>
      </c>
      <c r="AW14" s="2"/>
      <c r="AX14" s="2"/>
      <c r="AY14" s="2">
        <f>36493/1000</f>
        <v>36.493000000000002</v>
      </c>
      <c r="AZ14" s="11"/>
    </row>
    <row r="15" spans="2:52" x14ac:dyDescent="0.25">
      <c r="B15" s="6" t="s">
        <v>20</v>
      </c>
      <c r="C15" t="s">
        <v>10</v>
      </c>
      <c r="D15" t="s">
        <v>10</v>
      </c>
      <c r="E15" t="s">
        <v>10</v>
      </c>
      <c r="F15" t="s">
        <v>10</v>
      </c>
      <c r="G15" t="s">
        <v>10</v>
      </c>
      <c r="H15" t="s">
        <v>10</v>
      </c>
      <c r="I15" t="s">
        <v>10</v>
      </c>
      <c r="J15" t="s">
        <v>10</v>
      </c>
      <c r="K15" t="s">
        <v>10</v>
      </c>
      <c r="L15" t="s">
        <v>10</v>
      </c>
      <c r="M15" t="s">
        <v>10</v>
      </c>
      <c r="N15" t="s">
        <v>10</v>
      </c>
      <c r="O15">
        <v>0.04</v>
      </c>
      <c r="P15">
        <v>7.0000000000000007E-2</v>
      </c>
      <c r="Q15">
        <v>0.65</v>
      </c>
      <c r="R15">
        <v>0.36</v>
      </c>
      <c r="S15">
        <v>3.16</v>
      </c>
      <c r="T15">
        <v>4.71</v>
      </c>
      <c r="U15">
        <v>1.87</v>
      </c>
      <c r="V15">
        <v>2.4300000000000002</v>
      </c>
      <c r="W15">
        <v>0.42</v>
      </c>
      <c r="X15">
        <v>0.38</v>
      </c>
      <c r="Y15" s="2">
        <v>0.6988561335248098</v>
      </c>
      <c r="Z15" s="2">
        <v>0.78795947</v>
      </c>
      <c r="AA15" s="2">
        <v>0.91479263259645627</v>
      </c>
      <c r="AB15" s="2">
        <v>1.3033710900000002</v>
      </c>
      <c r="AC15" s="2">
        <v>1.0580000000000001</v>
      </c>
      <c r="AD15" s="2">
        <v>1.5109999999999999</v>
      </c>
      <c r="AE15" s="2">
        <f t="shared" si="9"/>
        <v>1.0580000000000001</v>
      </c>
      <c r="AF15" s="2">
        <f t="shared" si="9"/>
        <v>1.5109999999999999</v>
      </c>
      <c r="AG15">
        <f>218/1000</f>
        <v>0.218</v>
      </c>
      <c r="AH15">
        <f>351/1000</f>
        <v>0.35099999999999998</v>
      </c>
      <c r="AI15">
        <f>412/1000</f>
        <v>0.41199999999999998</v>
      </c>
      <c r="AJ15">
        <f>1076/1000</f>
        <v>1.0760000000000001</v>
      </c>
      <c r="AK15" s="2">
        <v>0.57999999999999996</v>
      </c>
      <c r="AL15" s="2">
        <v>1.133</v>
      </c>
      <c r="AM15" s="2">
        <v>0.73</v>
      </c>
      <c r="AN15" s="2">
        <v>1.2430000000000001</v>
      </c>
      <c r="AO15" s="2">
        <v>0.73</v>
      </c>
      <c r="AP15" s="11">
        <f t="shared" si="10"/>
        <v>1.2430000000000001</v>
      </c>
      <c r="AQ15" s="2">
        <v>2.3180000000000001</v>
      </c>
      <c r="AR15" s="2">
        <v>6.0999999999999999E-2</v>
      </c>
      <c r="AS15" s="2">
        <f>2766/1000</f>
        <v>2.766</v>
      </c>
      <c r="AT15" s="2">
        <f>399/1000</f>
        <v>0.39900000000000002</v>
      </c>
      <c r="AU15" s="2">
        <v>3.0009999999999999</v>
      </c>
      <c r="AV15" s="2">
        <v>0.44900000000000001</v>
      </c>
      <c r="AW15" s="2"/>
      <c r="AX15" s="2"/>
      <c r="AY15" s="2">
        <v>3.234</v>
      </c>
      <c r="AZ15" s="11"/>
    </row>
    <row r="16" spans="2:52" ht="15.75" thickBot="1" x14ac:dyDescent="0.3">
      <c r="B16" s="12" t="s">
        <v>21</v>
      </c>
      <c r="C16" s="13" t="s">
        <v>10</v>
      </c>
      <c r="D16" s="13" t="s">
        <v>10</v>
      </c>
      <c r="E16" s="13">
        <v>2.0499999999999998</v>
      </c>
      <c r="F16" s="13">
        <v>1.1399999999999999</v>
      </c>
      <c r="G16" s="13">
        <v>10.85</v>
      </c>
      <c r="H16" s="13">
        <v>2.4500000000000002</v>
      </c>
      <c r="I16" s="13">
        <v>3.22</v>
      </c>
      <c r="J16" s="13">
        <v>2.58</v>
      </c>
      <c r="K16" s="13">
        <v>3.38</v>
      </c>
      <c r="L16" s="13">
        <v>2.25</v>
      </c>
      <c r="M16" s="13">
        <v>2.83</v>
      </c>
      <c r="N16" s="13">
        <v>1.88</v>
      </c>
      <c r="O16" s="13">
        <v>4.8099999999999996</v>
      </c>
      <c r="P16" s="13">
        <v>1.68</v>
      </c>
      <c r="Q16" s="13">
        <v>7.66</v>
      </c>
      <c r="R16" s="13">
        <v>4.49</v>
      </c>
      <c r="S16" s="13">
        <v>3.76</v>
      </c>
      <c r="T16" s="13">
        <v>0.96</v>
      </c>
      <c r="U16" s="13">
        <v>1.85</v>
      </c>
      <c r="V16" s="13">
        <v>1.19</v>
      </c>
      <c r="W16" s="13">
        <v>0.56000000000000005</v>
      </c>
      <c r="X16" s="13">
        <v>0.25</v>
      </c>
      <c r="Y16" s="14">
        <v>1.1344992198311259</v>
      </c>
      <c r="Z16" s="14">
        <v>0.46467546999999998</v>
      </c>
      <c r="AA16" s="14">
        <v>2.1112590730293594</v>
      </c>
      <c r="AB16" s="14">
        <v>1.0588995100000003</v>
      </c>
      <c r="AC16" s="14">
        <v>2.819</v>
      </c>
      <c r="AD16" s="14">
        <v>1.524</v>
      </c>
      <c r="AE16" s="14">
        <f t="shared" si="9"/>
        <v>2.819</v>
      </c>
      <c r="AF16" s="14">
        <f t="shared" si="9"/>
        <v>1.524</v>
      </c>
      <c r="AG16" s="13">
        <f>510/1000</f>
        <v>0.51</v>
      </c>
      <c r="AH16" s="13">
        <f>362/1000</f>
        <v>0.36199999999999999</v>
      </c>
      <c r="AI16" s="13">
        <f>1155/1000</f>
        <v>1.155</v>
      </c>
      <c r="AJ16" s="13">
        <f>1107/1000</f>
        <v>1.107</v>
      </c>
      <c r="AK16" s="14">
        <v>1.7589999999999999</v>
      </c>
      <c r="AL16" s="14">
        <v>1.663</v>
      </c>
      <c r="AM16" s="14">
        <v>2.2789999999999999</v>
      </c>
      <c r="AN16" s="14">
        <v>2.411</v>
      </c>
      <c r="AO16" s="14">
        <v>2.2789999999999999</v>
      </c>
      <c r="AP16" s="15">
        <f t="shared" si="10"/>
        <v>2.411</v>
      </c>
      <c r="AQ16" s="14">
        <v>1.268</v>
      </c>
      <c r="AR16" s="14">
        <v>0.78900000000000003</v>
      </c>
      <c r="AS16" s="14">
        <f>2607/1000</f>
        <v>2.6070000000000002</v>
      </c>
      <c r="AT16" s="14">
        <f>1816/1000</f>
        <v>1.8160000000000001</v>
      </c>
      <c r="AU16" s="14">
        <v>4.0549999999999997</v>
      </c>
      <c r="AV16" s="14">
        <v>2.6</v>
      </c>
      <c r="AW16" s="14"/>
      <c r="AX16" s="14"/>
      <c r="AY16" s="14">
        <v>5.8120000000000003</v>
      </c>
      <c r="AZ16" s="15"/>
    </row>
    <row r="17" spans="2:36" x14ac:dyDescent="0.25">
      <c r="AI17" s="2"/>
      <c r="AJ17" s="2"/>
    </row>
    <row r="18" spans="2:36" x14ac:dyDescent="0.25">
      <c r="B18" s="1" t="s">
        <v>22</v>
      </c>
      <c r="Y18" s="2"/>
      <c r="AC18" s="2"/>
      <c r="AD18" s="2"/>
    </row>
    <row r="19" spans="2:36" x14ac:dyDescent="0.25">
      <c r="Y19" s="2"/>
    </row>
    <row r="20" spans="2:36" x14ac:dyDescent="0.25">
      <c r="Y20" s="2"/>
    </row>
    <row r="28" spans="2:36" x14ac:dyDescent="0.25">
      <c r="AB28" s="3"/>
    </row>
  </sheetData>
  <mergeCells count="15">
    <mergeCell ref="AQ2:AR2"/>
    <mergeCell ref="AS2:AT2"/>
    <mergeCell ref="AU2:AV2"/>
    <mergeCell ref="AW2:AX2"/>
    <mergeCell ref="AY2:AZ2"/>
    <mergeCell ref="W2:X2"/>
    <mergeCell ref="Y2:Z2"/>
    <mergeCell ref="AA2:AB2"/>
    <mergeCell ref="AC2:AD2"/>
    <mergeCell ref="AE2:AF2"/>
    <mergeCell ref="AG2:AH2"/>
    <mergeCell ref="AI2:AJ2"/>
    <mergeCell ref="AK2:AL2"/>
    <mergeCell ref="AM2:AN2"/>
    <mergeCell ref="AO2:AP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E8:AF8 AP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DDB8A8EE0D0A4F9224919E1EE291EC" ma:contentTypeVersion="19" ma:contentTypeDescription="Crie um novo documento." ma:contentTypeScope="" ma:versionID="a3bfceba532571fd010c6e28ad1f5c26">
  <xsd:schema xmlns:xsd="http://www.w3.org/2001/XMLSchema" xmlns:xs="http://www.w3.org/2001/XMLSchema" xmlns:p="http://schemas.microsoft.com/office/2006/metadata/properties" xmlns:ns3="df04f808-34aa-4ec7-b570-9235d45eff31" xmlns:ns4="78bc998a-26d0-41a5-a3ff-3844a0b5771c" targetNamespace="http://schemas.microsoft.com/office/2006/metadata/properties" ma:root="true" ma:fieldsID="aa156d6c17b5c0e84df719df6c10b5f7" ns3:_="" ns4:_="">
    <xsd:import namespace="df04f808-34aa-4ec7-b570-9235d45eff31"/>
    <xsd:import namespace="78bc998a-26d0-41a5-a3ff-3844a0b5771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4f808-34aa-4ec7-b570-9235d45eff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c998a-26d0-41a5-a3ff-3844a0b57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8bc998a-26d0-41a5-a3ff-3844a0b5771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50DD71-2BA1-49FB-AE17-F882ADF9CD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04f808-34aa-4ec7-b570-9235d45eff31"/>
    <ds:schemaRef ds:uri="78bc998a-26d0-41a5-a3ff-3844a0b577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628C94-E47E-4DA3-9163-DA8FE41E44BE}">
  <ds:schemaRefs>
    <ds:schemaRef ds:uri="http://schemas.microsoft.com/office/2006/documentManagement/types"/>
    <ds:schemaRef ds:uri="78bc998a-26d0-41a5-a3ff-3844a0b5771c"/>
    <ds:schemaRef ds:uri="http://purl.org/dc/elements/1.1/"/>
    <ds:schemaRef ds:uri="http://purl.org/dc/dcmitype/"/>
    <ds:schemaRef ds:uri="df04f808-34aa-4ec7-b570-9235d45eff31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010E179-85A0-43FC-96FC-E6B4DE887E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Execucação orçament-Trimestral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Santos Ribeiro</dc:creator>
  <cp:lastModifiedBy>Marcos Santos Ribeiro</cp:lastModifiedBy>
  <dcterms:created xsi:type="dcterms:W3CDTF">2024-02-02T20:42:04Z</dcterms:created>
  <dcterms:modified xsi:type="dcterms:W3CDTF">2025-10-16T21:38:15Z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0x01010083DDB8A8EE0D0A4F9224919E1EE291EC</vt:lpwstr>
  </property>
</Properties>
</file>